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399" lockStructure="1" lockWindows="1"/>
  <bookViews>
    <workbookView xWindow="120" yWindow="15" windowWidth="18975" windowHeight="11955"/>
  </bookViews>
  <sheets>
    <sheet name="Doses" sheetId="1" r:id="rId1"/>
  </sheets>
  <definedNames>
    <definedName name="Age">Doses!#REF!</definedName>
  </definedNames>
  <calcPr calcId="145621"/>
</workbook>
</file>

<file path=xl/calcChain.xml><?xml version="1.0" encoding="utf-8"?>
<calcChain xmlns="http://schemas.openxmlformats.org/spreadsheetml/2006/main">
  <c r="E30" i="1" l="1"/>
  <c r="G12" i="1" l="1"/>
  <c r="H31" i="1" l="1"/>
  <c r="J16" i="1" l="1"/>
  <c r="J18" i="1"/>
  <c r="G16" i="1"/>
  <c r="G18" i="1"/>
  <c r="I12" i="1"/>
  <c r="J32" i="1"/>
  <c r="G32" i="1"/>
  <c r="E22" i="1"/>
  <c r="G23" i="1"/>
  <c r="J36" i="1"/>
  <c r="G36" i="1"/>
  <c r="J34" i="1"/>
  <c r="G34" i="1"/>
  <c r="J29" i="1"/>
  <c r="J28" i="1"/>
  <c r="J24" i="1"/>
  <c r="G24" i="1"/>
  <c r="J23" i="1"/>
  <c r="J21" i="1"/>
  <c r="G21" i="1"/>
  <c r="J19" i="1"/>
  <c r="G19" i="1"/>
  <c r="J17" i="1"/>
  <c r="G17" i="1"/>
  <c r="J15" i="1"/>
  <c r="G15" i="1"/>
  <c r="J13" i="1"/>
  <c r="G13" i="1"/>
  <c r="J12" i="1"/>
  <c r="J10" i="1"/>
  <c r="J9" i="1"/>
  <c r="G10" i="1"/>
  <c r="G9" i="1"/>
  <c r="C36" i="1"/>
  <c r="C35" i="1"/>
  <c r="C34" i="1"/>
  <c r="C33" i="1"/>
  <c r="C32" i="1"/>
  <c r="C31" i="1"/>
  <c r="C30" i="1"/>
  <c r="C29" i="1"/>
  <c r="C26" i="1"/>
  <c r="C25" i="1"/>
  <c r="C24" i="1"/>
  <c r="C23" i="1"/>
  <c r="C22" i="1"/>
  <c r="C21" i="1"/>
  <c r="C18" i="1"/>
  <c r="C17" i="1"/>
  <c r="C16" i="1"/>
  <c r="C15" i="1"/>
  <c r="C12" i="1"/>
  <c r="C11" i="1"/>
  <c r="C10" i="1"/>
  <c r="C9" i="1"/>
  <c r="K34" i="1"/>
  <c r="I34" i="1"/>
  <c r="K24" i="1"/>
  <c r="K23" i="1"/>
  <c r="E24" i="1"/>
  <c r="H24" i="1"/>
  <c r="I24" i="1"/>
  <c r="I23" i="1"/>
  <c r="H23" i="1"/>
  <c r="E23" i="1"/>
</calcChain>
</file>

<file path=xl/sharedStrings.xml><?xml version="1.0" encoding="utf-8"?>
<sst xmlns="http://schemas.openxmlformats.org/spreadsheetml/2006/main" count="111" uniqueCount="78">
  <si>
    <t>Dose</t>
  </si>
  <si>
    <t>Rocuronium</t>
  </si>
  <si>
    <t>Midazolam</t>
  </si>
  <si>
    <t>Adrenaline</t>
  </si>
  <si>
    <t>Anticonvulsants and drugs for raised ICP</t>
  </si>
  <si>
    <t>Induction agents for intubation</t>
  </si>
  <si>
    <t>Muscle relaxants for intubation</t>
  </si>
  <si>
    <t>Morphine</t>
  </si>
  <si>
    <t>Vasoactive drugs</t>
  </si>
  <si>
    <t>Peripheral</t>
  </si>
  <si>
    <t>Central</t>
  </si>
  <si>
    <t>Dopamine</t>
  </si>
  <si>
    <t>Dobutamine</t>
  </si>
  <si>
    <t>Noradrenaline</t>
  </si>
  <si>
    <t>Drug doses for infusion:</t>
  </si>
  <si>
    <t>Paralysis</t>
  </si>
  <si>
    <t>Sedation</t>
  </si>
  <si>
    <t>Rate</t>
  </si>
  <si>
    <t>Salbutamol</t>
  </si>
  <si>
    <t>Insulin</t>
  </si>
  <si>
    <t>Aminophylline</t>
  </si>
  <si>
    <t>Asthma drugs</t>
  </si>
  <si>
    <t>DKA drugs</t>
  </si>
  <si>
    <t>D5/D10/NS</t>
  </si>
  <si>
    <t>50ml</t>
  </si>
  <si>
    <t>Amount</t>
  </si>
  <si>
    <t>D5/D10/DS/NS</t>
  </si>
  <si>
    <t>D5/DS</t>
  </si>
  <si>
    <t>D5/NS</t>
  </si>
  <si>
    <t>25mg</t>
  </si>
  <si>
    <t>Loading dose:</t>
  </si>
  <si>
    <t>10mg</t>
  </si>
  <si>
    <t>10-40micrograms/kg/hr</t>
  </si>
  <si>
    <t>0.6 - 1mg/kg/hr</t>
  </si>
  <si>
    <t>5 - 20micrograms/kg/min</t>
  </si>
  <si>
    <t>1 - 2micrograms/kg/min</t>
  </si>
  <si>
    <t>Weight (kg):</t>
  </si>
  <si>
    <r>
      <t>Dilutent</t>
    </r>
    <r>
      <rPr>
        <sz val="8.5"/>
        <color indexed="8"/>
        <rFont val="Calibri"/>
        <family val="2"/>
      </rPr>
      <t xml:space="preserve"> - see key*</t>
    </r>
  </si>
  <si>
    <t>Vecuronium</t>
  </si>
  <si>
    <t>Emergency drugs for cardiac arrest</t>
  </si>
  <si>
    <t>Single drug doses:</t>
  </si>
  <si>
    <t>0.1units/kg/h</t>
  </si>
  <si>
    <t>0.5-3 micrograms/kg/min</t>
  </si>
  <si>
    <t>1 - 4micrograms/kg/min</t>
  </si>
  <si>
    <t>0.01 - 1micrograms/kg/min</t>
  </si>
  <si>
    <t>Magnesium sulphate 50%</t>
  </si>
  <si>
    <t>Total Volume</t>
  </si>
  <si>
    <t>KIDS Clinical Guideline - Drug dose calculator</t>
  </si>
  <si>
    <r>
      <t xml:space="preserve">Fentanyl </t>
    </r>
    <r>
      <rPr>
        <b/>
        <sz val="10"/>
        <color indexed="23"/>
        <rFont val="Calibri"/>
        <family val="2"/>
      </rPr>
      <t xml:space="preserve">(1-5 </t>
    </r>
    <r>
      <rPr>
        <b/>
        <sz val="10"/>
        <color indexed="23"/>
        <rFont val="Calibri"/>
        <family val="2"/>
      </rPr>
      <t>micrograms/kg)</t>
    </r>
  </si>
  <si>
    <r>
      <t>Thiopentone</t>
    </r>
    <r>
      <rPr>
        <b/>
        <sz val="10"/>
        <color indexed="55"/>
        <rFont val="Calibri"/>
        <family val="2"/>
      </rPr>
      <t xml:space="preserve"> </t>
    </r>
    <r>
      <rPr>
        <b/>
        <sz val="10"/>
        <color indexed="23"/>
        <rFont val="Calibri"/>
        <family val="2"/>
      </rPr>
      <t>(2-4 mg/kg)</t>
    </r>
  </si>
  <si>
    <r>
      <t>Ketamine</t>
    </r>
    <r>
      <rPr>
        <b/>
        <sz val="10"/>
        <color indexed="55"/>
        <rFont val="Calibri"/>
        <family val="2"/>
      </rPr>
      <t xml:space="preserve"> </t>
    </r>
    <r>
      <rPr>
        <b/>
        <sz val="10"/>
        <color indexed="23"/>
        <rFont val="Calibri"/>
        <family val="2"/>
      </rPr>
      <t>(2 mg/kg)</t>
    </r>
  </si>
  <si>
    <r>
      <t>Propofol</t>
    </r>
    <r>
      <rPr>
        <b/>
        <sz val="10"/>
        <color indexed="23"/>
        <rFont val="Calibri"/>
        <family val="2"/>
      </rPr>
      <t xml:space="preserve"> (2-5 mg/kg)</t>
    </r>
  </si>
  <si>
    <r>
      <t xml:space="preserve">Suxamethonium </t>
    </r>
    <r>
      <rPr>
        <b/>
        <sz val="10"/>
        <color indexed="23"/>
        <rFont val="Calibri"/>
        <family val="2"/>
      </rPr>
      <t>(Weight &lt;10kg: 2mg/kg)</t>
    </r>
  </si>
  <si>
    <r>
      <t xml:space="preserve">Suxamethonium </t>
    </r>
    <r>
      <rPr>
        <b/>
        <sz val="10"/>
        <color indexed="23"/>
        <rFont val="Calibri"/>
        <family val="2"/>
      </rPr>
      <t>(Weight &gt;=10kg: 1mg/kg)</t>
    </r>
  </si>
  <si>
    <r>
      <t xml:space="preserve">Rocuronium </t>
    </r>
    <r>
      <rPr>
        <b/>
        <sz val="10"/>
        <color indexed="23"/>
        <rFont val="Calibri"/>
        <family val="2"/>
      </rPr>
      <t>(1mg/kg)</t>
    </r>
  </si>
  <si>
    <r>
      <t xml:space="preserve">Vecuronium </t>
    </r>
    <r>
      <rPr>
        <b/>
        <sz val="10"/>
        <color indexed="23"/>
        <rFont val="Calibri"/>
        <family val="2"/>
      </rPr>
      <t>(0.1mg/kg)</t>
    </r>
  </si>
  <si>
    <t>Adrenaline 1:10,000 (0.1ml/kg)</t>
  </si>
  <si>
    <t>Atropine (20micrograms/kg)</t>
  </si>
  <si>
    <t>Adenosine (0.1 - 0.5 mg/kg)</t>
  </si>
  <si>
    <t>Amiodarone (5mg/kg)</t>
  </si>
  <si>
    <t>Calcium gluconate 10% (0.5ml/kg)</t>
  </si>
  <si>
    <t>Sodium Bicarbonate 8.4% (1ml/kg)</t>
  </si>
  <si>
    <r>
      <t>Lorazepam</t>
    </r>
    <r>
      <rPr>
        <b/>
        <sz val="10"/>
        <color indexed="23"/>
        <rFont val="Calibri"/>
        <family val="2"/>
      </rPr>
      <t xml:space="preserve"> (0.1mg/kg)</t>
    </r>
  </si>
  <si>
    <r>
      <t xml:space="preserve">Phenytoin </t>
    </r>
    <r>
      <rPr>
        <b/>
        <sz val="10"/>
        <color indexed="23"/>
        <rFont val="Calibri"/>
        <family val="2"/>
      </rPr>
      <t>(20mg/kg - over 20 mins)</t>
    </r>
  </si>
  <si>
    <r>
      <t xml:space="preserve">Phenobarbitone </t>
    </r>
    <r>
      <rPr>
        <b/>
        <sz val="10"/>
        <color indexed="23"/>
        <rFont val="Calibri"/>
        <family val="2"/>
      </rPr>
      <t>(20mg/kg )</t>
    </r>
  </si>
  <si>
    <r>
      <t xml:space="preserve">Paraldehyde 50%:Olive oil 50% </t>
    </r>
    <r>
      <rPr>
        <b/>
        <sz val="10"/>
        <color indexed="23"/>
        <rFont val="Calibri"/>
        <family val="2"/>
      </rPr>
      <t>(0.8ml/kg)</t>
    </r>
  </si>
  <si>
    <r>
      <t xml:space="preserve">Mannitol dose </t>
    </r>
    <r>
      <rPr>
        <b/>
        <sz val="10"/>
        <color indexed="23"/>
        <rFont val="Calibri"/>
        <family val="2"/>
      </rPr>
      <t>(0.25 - 0.5 g/kg)</t>
    </r>
  </si>
  <si>
    <r>
      <t xml:space="preserve">Mannitol volume </t>
    </r>
    <r>
      <rPr>
        <b/>
        <sz val="10"/>
        <color indexed="23"/>
        <rFont val="Calibri"/>
        <family val="2"/>
      </rPr>
      <t>Peripheral: 10% solution</t>
    </r>
  </si>
  <si>
    <r>
      <t xml:space="preserve">Mannitol volume </t>
    </r>
    <r>
      <rPr>
        <b/>
        <sz val="10"/>
        <color indexed="23"/>
        <rFont val="Calibri"/>
        <family val="2"/>
      </rPr>
      <t>Central: 20% solution</t>
    </r>
  </si>
  <si>
    <r>
      <t xml:space="preserve">3% saline </t>
    </r>
    <r>
      <rPr>
        <b/>
        <sz val="10"/>
        <color indexed="23"/>
        <rFont val="Calibri"/>
        <family val="2"/>
      </rPr>
      <t>(3ml/kg)</t>
    </r>
  </si>
  <si>
    <t xml:space="preserve">Name: </t>
  </si>
  <si>
    <t>500ml</t>
  </si>
  <si>
    <t>D5</t>
  </si>
  <si>
    <t>1mg/kg/hr</t>
  </si>
  <si>
    <t>If patient is aged greater than 12 years please refer to BNFc for aminophylline dosing</t>
  </si>
  <si>
    <t>Infusion</t>
  </si>
  <si>
    <t>For Salbutamol bolus dose please refer to BNFc</t>
  </si>
  <si>
    <t>NB - when making up Adrenaline infusion, we recommend using 1:1000 concentration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</si>
</sst>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24" x14ac:knownFonts="1">
    <font>
      <sz val="11"/>
      <color theme="1"/>
      <name val="Calibri"/>
      <family val="2"/>
      <scheme val="minor"/>
    </font>
    <font>
      <sz val="8.5"/>
      <color indexed="8"/>
      <name val="Calibri"/>
      <family val="2"/>
    </font>
    <font>
      <b/>
      <sz val="10"/>
      <color indexed="23"/>
      <name val="Calibri"/>
      <family val="2"/>
    </font>
    <font>
      <b/>
      <sz val="10"/>
      <color indexed="55"/>
      <name val="Calibri"/>
      <family val="2"/>
    </font>
    <font>
      <sz val="10"/>
      <color theme="1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  <font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8.5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DD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4" fillId="2" borderId="0" xfId="0" applyFont="1" applyFill="1" applyProtection="1"/>
    <xf numFmtId="0" fontId="4" fillId="2" borderId="1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0" fontId="4" fillId="2" borderId="2" xfId="0" applyFont="1" applyFill="1" applyBorder="1" applyProtection="1"/>
    <xf numFmtId="0" fontId="7" fillId="2" borderId="0" xfId="0" applyFont="1" applyFill="1" applyBorder="1" applyProtection="1"/>
    <xf numFmtId="0" fontId="8" fillId="2" borderId="1" xfId="0" applyFont="1" applyFill="1" applyBorder="1" applyProtection="1"/>
    <xf numFmtId="0" fontId="8" fillId="2" borderId="0" xfId="0" applyFont="1" applyFill="1" applyBorder="1" applyAlignment="1" applyProtection="1">
      <alignment horizontal="left"/>
    </xf>
    <xf numFmtId="0" fontId="8" fillId="2" borderId="0" xfId="0" applyFont="1" applyFill="1" applyBorder="1" applyProtection="1"/>
    <xf numFmtId="0" fontId="8" fillId="2" borderId="2" xfId="0" applyFont="1" applyFill="1" applyBorder="1" applyProtection="1"/>
    <xf numFmtId="0" fontId="4" fillId="2" borderId="1" xfId="0" applyFont="1" applyFill="1" applyBorder="1" applyProtection="1"/>
    <xf numFmtId="0" fontId="4" fillId="2" borderId="0" xfId="0" applyNumberFormat="1" applyFont="1" applyFill="1" applyBorder="1" applyProtection="1"/>
    <xf numFmtId="0" fontId="9" fillId="2" borderId="3" xfId="0" applyFont="1" applyFill="1" applyBorder="1" applyProtection="1"/>
    <xf numFmtId="0" fontId="9" fillId="2" borderId="0" xfId="0" applyFont="1" applyFill="1" applyBorder="1" applyProtection="1"/>
    <xf numFmtId="0" fontId="9" fillId="2" borderId="4" xfId="0" applyFont="1" applyFill="1" applyBorder="1" applyProtection="1"/>
    <xf numFmtId="0" fontId="10" fillId="2" borderId="4" xfId="0" applyFont="1" applyFill="1" applyBorder="1" applyProtection="1"/>
    <xf numFmtId="0" fontId="9" fillId="2" borderId="4" xfId="0" applyNumberFormat="1" applyFont="1" applyFill="1" applyBorder="1" applyProtection="1"/>
    <xf numFmtId="0" fontId="9" fillId="2" borderId="5" xfId="0" applyFont="1" applyFill="1" applyBorder="1" applyProtection="1"/>
    <xf numFmtId="0" fontId="11" fillId="2" borderId="6" xfId="0" applyFont="1" applyFill="1" applyBorder="1" applyAlignment="1" applyProtection="1">
      <alignment horizontal="left"/>
    </xf>
    <xf numFmtId="0" fontId="12" fillId="2" borderId="7" xfId="0" applyFont="1" applyFill="1" applyBorder="1" applyProtection="1"/>
    <xf numFmtId="0" fontId="10" fillId="2" borderId="7" xfId="0" applyFont="1" applyFill="1" applyBorder="1" applyProtection="1"/>
    <xf numFmtId="0" fontId="10" fillId="2" borderId="7" xfId="0" applyNumberFormat="1" applyFont="1" applyFill="1" applyBorder="1" applyProtection="1"/>
    <xf numFmtId="0" fontId="9" fillId="2" borderId="8" xfId="0" applyFont="1" applyFill="1" applyBorder="1" applyProtection="1"/>
    <xf numFmtId="0" fontId="13" fillId="2" borderId="0" xfId="0" applyFont="1" applyFill="1" applyBorder="1" applyAlignment="1" applyProtection="1">
      <alignment horizontal="center"/>
    </xf>
    <xf numFmtId="0" fontId="4" fillId="2" borderId="9" xfId="0" applyFont="1" applyFill="1" applyBorder="1" applyProtection="1"/>
    <xf numFmtId="0" fontId="13" fillId="2" borderId="0" xfId="0" applyFont="1" applyFill="1" applyBorder="1" applyAlignment="1" applyProtection="1">
      <alignment horizontal="left"/>
    </xf>
    <xf numFmtId="0" fontId="4" fillId="3" borderId="6" xfId="0" applyFont="1" applyFill="1" applyBorder="1" applyProtection="1"/>
    <xf numFmtId="0" fontId="11" fillId="3" borderId="10" xfId="0" applyFont="1" applyFill="1" applyBorder="1" applyProtection="1"/>
    <xf numFmtId="0" fontId="4" fillId="3" borderId="11" xfId="0" applyFont="1" applyFill="1" applyBorder="1" applyProtection="1"/>
    <xf numFmtId="0" fontId="4" fillId="3" borderId="11" xfId="0" applyNumberFormat="1" applyFont="1" applyFill="1" applyBorder="1" applyProtection="1"/>
    <xf numFmtId="0" fontId="9" fillId="3" borderId="11" xfId="0" applyFont="1" applyFill="1" applyBorder="1" applyProtection="1"/>
    <xf numFmtId="0" fontId="4" fillId="3" borderId="12" xfId="0" applyFont="1" applyFill="1" applyBorder="1" applyProtection="1"/>
    <xf numFmtId="17" fontId="4" fillId="2" borderId="0" xfId="0" applyNumberFormat="1" applyFont="1" applyFill="1" applyBorder="1" applyProtection="1"/>
    <xf numFmtId="0" fontId="4" fillId="2" borderId="13" xfId="0" applyFont="1" applyFill="1" applyBorder="1" applyProtection="1"/>
    <xf numFmtId="0" fontId="4" fillId="2" borderId="14" xfId="0" applyFont="1" applyFill="1" applyBorder="1" applyProtection="1"/>
    <xf numFmtId="0" fontId="9" fillId="2" borderId="14" xfId="0" quotePrefix="1" applyFont="1" applyFill="1" applyBorder="1" applyAlignment="1" applyProtection="1"/>
    <xf numFmtId="0" fontId="9" fillId="2" borderId="14" xfId="0" applyFont="1" applyFill="1" applyBorder="1" applyAlignment="1" applyProtection="1"/>
    <xf numFmtId="0" fontId="4" fillId="2" borderId="14" xfId="0" applyFont="1" applyFill="1" applyBorder="1" applyAlignment="1" applyProtection="1"/>
    <xf numFmtId="0" fontId="4" fillId="2" borderId="14" xfId="0" applyNumberFormat="1" applyFont="1" applyFill="1" applyBorder="1" applyProtection="1"/>
    <xf numFmtId="0" fontId="4" fillId="2" borderId="15" xfId="0" applyFont="1" applyFill="1" applyBorder="1" applyProtection="1"/>
    <xf numFmtId="0" fontId="9" fillId="2" borderId="0" xfId="0" quotePrefix="1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4" fillId="2" borderId="0" xfId="0" applyNumberFormat="1" applyFont="1" applyFill="1" applyProtection="1"/>
    <xf numFmtId="0" fontId="9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right"/>
    </xf>
    <xf numFmtId="0" fontId="9" fillId="2" borderId="0" xfId="0" quotePrefix="1" applyFont="1" applyFill="1" applyBorder="1" applyAlignment="1" applyProtection="1"/>
    <xf numFmtId="0" fontId="9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1" fillId="3" borderId="16" xfId="0" applyFont="1" applyFill="1" applyBorder="1" applyProtection="1"/>
    <xf numFmtId="0" fontId="4" fillId="3" borderId="4" xfId="0" applyFont="1" applyFill="1" applyBorder="1" applyProtection="1"/>
    <xf numFmtId="0" fontId="4" fillId="3" borderId="4" xfId="0" applyNumberFormat="1" applyFont="1" applyFill="1" applyBorder="1" applyProtection="1"/>
    <xf numFmtId="0" fontId="9" fillId="3" borderId="4" xfId="0" applyFont="1" applyFill="1" applyBorder="1" applyProtection="1"/>
    <xf numFmtId="0" fontId="4" fillId="3" borderId="5" xfId="0" applyFont="1" applyFill="1" applyBorder="1" applyProtection="1"/>
    <xf numFmtId="0" fontId="11" fillId="2" borderId="17" xfId="0" applyFont="1" applyFill="1" applyBorder="1" applyProtection="1"/>
    <xf numFmtId="0" fontId="4" fillId="2" borderId="7" xfId="0" applyFont="1" applyFill="1" applyBorder="1" applyProtection="1"/>
    <xf numFmtId="0" fontId="4" fillId="2" borderId="7" xfId="0" applyNumberFormat="1" applyFont="1" applyFill="1" applyBorder="1" applyProtection="1"/>
    <xf numFmtId="0" fontId="9" fillId="2" borderId="7" xfId="0" applyFont="1" applyFill="1" applyBorder="1" applyProtection="1"/>
    <xf numFmtId="0" fontId="4" fillId="2" borderId="8" xfId="0" applyFont="1" applyFill="1" applyBorder="1" applyProtection="1"/>
    <xf numFmtId="0" fontId="13" fillId="2" borderId="7" xfId="0" applyFont="1" applyFill="1" applyBorder="1" applyProtection="1"/>
    <xf numFmtId="0" fontId="15" fillId="2" borderId="7" xfId="0" applyFont="1" applyFill="1" applyBorder="1" applyProtection="1"/>
    <xf numFmtId="0" fontId="11" fillId="3" borderId="17" xfId="0" applyFont="1" applyFill="1" applyBorder="1" applyProtection="1"/>
    <xf numFmtId="0" fontId="4" fillId="3" borderId="7" xfId="0" applyFont="1" applyFill="1" applyBorder="1" applyProtection="1"/>
    <xf numFmtId="0" fontId="4" fillId="3" borderId="7" xfId="0" applyFont="1" applyFill="1" applyBorder="1" applyAlignment="1" applyProtection="1">
      <alignment horizontal="left" wrapText="1"/>
    </xf>
    <xf numFmtId="0" fontId="9" fillId="3" borderId="7" xfId="0" applyFont="1" applyFill="1" applyBorder="1" applyProtection="1"/>
    <xf numFmtId="0" fontId="4" fillId="3" borderId="8" xfId="0" applyFont="1" applyFill="1" applyBorder="1" applyAlignment="1" applyProtection="1">
      <alignment horizontal="left" wrapText="1"/>
    </xf>
    <xf numFmtId="0" fontId="13" fillId="3" borderId="11" xfId="0" applyFont="1" applyFill="1" applyBorder="1" applyProtection="1"/>
    <xf numFmtId="44" fontId="4" fillId="3" borderId="11" xfId="0" applyNumberFormat="1" applyFont="1" applyFill="1" applyBorder="1" applyProtection="1"/>
    <xf numFmtId="0" fontId="4" fillId="2" borderId="10" xfId="0" applyFont="1" applyFill="1" applyBorder="1" applyProtection="1"/>
    <xf numFmtId="0" fontId="13" fillId="2" borderId="11" xfId="0" applyFont="1" applyFill="1" applyBorder="1" applyProtection="1"/>
    <xf numFmtId="0" fontId="4" fillId="2" borderId="11" xfId="0" applyFont="1" applyFill="1" applyBorder="1" applyProtection="1"/>
    <xf numFmtId="0" fontId="4" fillId="2" borderId="11" xfId="0" applyNumberFormat="1" applyFont="1" applyFill="1" applyBorder="1" applyProtection="1"/>
    <xf numFmtId="0" fontId="9" fillId="2" borderId="11" xfId="0" applyFont="1" applyFill="1" applyBorder="1" applyProtection="1"/>
    <xf numFmtId="0" fontId="4" fillId="2" borderId="12" xfId="0" applyFont="1" applyFill="1" applyBorder="1" applyProtection="1"/>
    <xf numFmtId="0" fontId="16" fillId="3" borderId="11" xfId="0" applyFont="1" applyFill="1" applyBorder="1" applyProtection="1"/>
    <xf numFmtId="0" fontId="17" fillId="3" borderId="11" xfId="0" applyFont="1" applyFill="1" applyBorder="1" applyProtection="1"/>
    <xf numFmtId="0" fontId="16" fillId="3" borderId="10" xfId="0" applyFont="1" applyFill="1" applyBorder="1" applyAlignment="1" applyProtection="1">
      <alignment horizontal="right"/>
    </xf>
    <xf numFmtId="0" fontId="4" fillId="3" borderId="18" xfId="0" applyFont="1" applyFill="1" applyBorder="1" applyProtection="1"/>
    <xf numFmtId="0" fontId="15" fillId="3" borderId="11" xfId="0" applyFont="1" applyFill="1" applyBorder="1" applyProtection="1"/>
    <xf numFmtId="0" fontId="6" fillId="2" borderId="19" xfId="0" applyFont="1" applyFill="1" applyBorder="1" applyAlignment="1" applyProtection="1">
      <alignment horizontal="center"/>
    </xf>
    <xf numFmtId="0" fontId="6" fillId="2" borderId="20" xfId="0" applyFont="1" applyFill="1" applyBorder="1" applyAlignment="1" applyProtection="1">
      <alignment horizontal="center"/>
    </xf>
    <xf numFmtId="0" fontId="6" fillId="2" borderId="21" xfId="0" applyFont="1" applyFill="1" applyBorder="1" applyAlignment="1" applyProtection="1">
      <alignment horizontal="center"/>
    </xf>
    <xf numFmtId="0" fontId="4" fillId="4" borderId="6" xfId="0" applyFont="1" applyFill="1" applyBorder="1" applyProtection="1"/>
    <xf numFmtId="0" fontId="4" fillId="4" borderId="18" xfId="0" applyFont="1" applyFill="1" applyBorder="1" applyProtection="1"/>
    <xf numFmtId="0" fontId="19" fillId="2" borderId="16" xfId="0" applyFont="1" applyFill="1" applyBorder="1" applyProtection="1"/>
    <xf numFmtId="0" fontId="4" fillId="2" borderId="25" xfId="0" applyFont="1" applyFill="1" applyBorder="1" applyAlignment="1" applyProtection="1">
      <alignment horizontal="left"/>
    </xf>
    <xf numFmtId="0" fontId="6" fillId="2" borderId="20" xfId="0" applyFont="1" applyFill="1" applyBorder="1" applyAlignment="1" applyProtection="1">
      <alignment horizontal="left"/>
    </xf>
    <xf numFmtId="0" fontId="8" fillId="5" borderId="19" xfId="0" applyFont="1" applyFill="1" applyBorder="1" applyProtection="1"/>
    <xf numFmtId="0" fontId="8" fillId="5" borderId="20" xfId="0" applyFont="1" applyFill="1" applyBorder="1" applyProtection="1"/>
    <xf numFmtId="0" fontId="8" fillId="5" borderId="21" xfId="0" applyFont="1" applyFill="1" applyBorder="1" applyProtection="1"/>
    <xf numFmtId="0" fontId="8" fillId="5" borderId="13" xfId="0" applyFont="1" applyFill="1" applyBorder="1" applyProtection="1"/>
    <xf numFmtId="0" fontId="8" fillId="5" borderId="14" xfId="0" applyFont="1" applyFill="1" applyBorder="1" applyProtection="1"/>
    <xf numFmtId="0" fontId="8" fillId="5" borderId="15" xfId="0" applyFont="1" applyFill="1" applyBorder="1" applyProtection="1"/>
    <xf numFmtId="0" fontId="23" fillId="3" borderId="11" xfId="0" applyFont="1" applyFill="1" applyBorder="1" applyProtection="1"/>
    <xf numFmtId="0" fontId="23" fillId="3" borderId="11" xfId="0" applyNumberFormat="1" applyFont="1" applyFill="1" applyBorder="1" applyProtection="1"/>
    <xf numFmtId="0" fontId="23" fillId="3" borderId="12" xfId="0" applyFont="1" applyFill="1" applyBorder="1" applyProtection="1"/>
    <xf numFmtId="0" fontId="16" fillId="3" borderId="11" xfId="0" applyFont="1" applyFill="1" applyBorder="1" applyAlignment="1" applyProtection="1">
      <alignment horizontal="left"/>
    </xf>
    <xf numFmtId="0" fontId="21" fillId="3" borderId="11" xfId="0" applyFont="1" applyFill="1" applyBorder="1" applyAlignment="1" applyProtection="1">
      <alignment horizontal="left"/>
    </xf>
    <xf numFmtId="0" fontId="18" fillId="2" borderId="17" xfId="0" applyFont="1" applyFill="1" applyBorder="1" applyProtection="1"/>
    <xf numFmtId="0" fontId="18" fillId="2" borderId="7" xfId="0" applyFont="1" applyFill="1" applyBorder="1" applyProtection="1"/>
    <xf numFmtId="0" fontId="18" fillId="2" borderId="8" xfId="0" applyFont="1" applyFill="1" applyBorder="1" applyProtection="1"/>
    <xf numFmtId="0" fontId="16" fillId="2" borderId="10" xfId="0" applyFont="1" applyFill="1" applyBorder="1" applyAlignment="1" applyProtection="1">
      <alignment horizontal="right"/>
    </xf>
    <xf numFmtId="0" fontId="14" fillId="2" borderId="7" xfId="0" applyFont="1" applyFill="1" applyBorder="1" applyProtection="1"/>
    <xf numFmtId="0" fontId="14" fillId="2" borderId="8" xfId="0" applyFont="1" applyFill="1" applyBorder="1" applyProtection="1"/>
    <xf numFmtId="0" fontId="22" fillId="2" borderId="10" xfId="0" applyFont="1" applyFill="1" applyBorder="1" applyAlignment="1" applyProtection="1">
      <alignment horizontal="center"/>
    </xf>
    <xf numFmtId="0" fontId="22" fillId="2" borderId="11" xfId="0" applyFont="1" applyFill="1" applyBorder="1" applyAlignment="1" applyProtection="1">
      <alignment horizontal="center"/>
    </xf>
    <xf numFmtId="0" fontId="22" fillId="2" borderId="12" xfId="0" applyFont="1" applyFill="1" applyBorder="1" applyAlignment="1" applyProtection="1">
      <alignment horizontal="center"/>
    </xf>
    <xf numFmtId="0" fontId="18" fillId="2" borderId="22" xfId="0" applyFont="1" applyFill="1" applyBorder="1" applyAlignment="1" applyProtection="1">
      <alignment horizontal="left"/>
    </xf>
    <xf numFmtId="0" fontId="18" fillId="2" borderId="7" xfId="0" applyFont="1" applyFill="1" applyBorder="1" applyAlignment="1" applyProtection="1">
      <alignment horizontal="left"/>
    </xf>
    <xf numFmtId="0" fontId="18" fillId="2" borderId="6" xfId="0" applyFont="1" applyFill="1" applyBorder="1" applyAlignment="1" applyProtection="1">
      <alignment horizontal="left"/>
    </xf>
    <xf numFmtId="0" fontId="18" fillId="2" borderId="17" xfId="0" applyFont="1" applyFill="1" applyBorder="1" applyProtection="1"/>
    <xf numFmtId="0" fontId="18" fillId="2" borderId="7" xfId="0" applyFont="1" applyFill="1" applyBorder="1" applyProtection="1"/>
    <xf numFmtId="0" fontId="18" fillId="2" borderId="8" xfId="0" applyFont="1" applyFill="1" applyBorder="1" applyProtection="1"/>
    <xf numFmtId="0" fontId="20" fillId="3" borderId="22" xfId="0" applyFont="1" applyFill="1" applyBorder="1" applyAlignment="1" applyProtection="1">
      <alignment horizontal="left"/>
    </xf>
    <xf numFmtId="0" fontId="20" fillId="3" borderId="7" xfId="0" applyFont="1" applyFill="1" applyBorder="1" applyAlignment="1" applyProtection="1">
      <alignment horizontal="left"/>
    </xf>
    <xf numFmtId="0" fontId="20" fillId="4" borderId="22" xfId="0" applyFont="1" applyFill="1" applyBorder="1" applyAlignment="1" applyProtection="1">
      <alignment horizontal="left"/>
    </xf>
    <xf numFmtId="0" fontId="20" fillId="4" borderId="7" xfId="0" applyFont="1" applyFill="1" applyBorder="1" applyAlignment="1" applyProtection="1">
      <alignment horizontal="left"/>
    </xf>
    <xf numFmtId="0" fontId="16" fillId="2" borderId="10" xfId="0" applyFont="1" applyFill="1" applyBorder="1" applyAlignment="1" applyProtection="1">
      <alignment horizontal="right"/>
    </xf>
    <xf numFmtId="0" fontId="16" fillId="2" borderId="11" xfId="0" applyFont="1" applyFill="1" applyBorder="1" applyAlignment="1" applyProtection="1">
      <alignment horizontal="right"/>
    </xf>
    <xf numFmtId="0" fontId="23" fillId="2" borderId="11" xfId="0" applyFont="1" applyFill="1" applyBorder="1" applyProtection="1"/>
    <xf numFmtId="0" fontId="23" fillId="2" borderId="12" xfId="0" applyFont="1" applyFill="1" applyBorder="1" applyProtection="1"/>
    <xf numFmtId="0" fontId="19" fillId="2" borderId="24" xfId="0" applyFont="1" applyFill="1" applyBorder="1" applyAlignment="1" applyProtection="1">
      <alignment horizontal="left"/>
    </xf>
    <xf numFmtId="0" fontId="19" fillId="2" borderId="4" xfId="0" applyFont="1" applyFill="1" applyBorder="1" applyAlignment="1" applyProtection="1">
      <alignment horizontal="left"/>
    </xf>
    <xf numFmtId="0" fontId="20" fillId="3" borderId="23" xfId="0" applyFont="1" applyFill="1" applyBorder="1" applyAlignment="1" applyProtection="1">
      <alignment horizontal="left"/>
    </xf>
    <xf numFmtId="0" fontId="20" fillId="3" borderId="11" xfId="0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horizontal="left"/>
    </xf>
    <xf numFmtId="0" fontId="14" fillId="2" borderId="0" xfId="0" applyFont="1" applyFill="1" applyBorder="1" applyAlignment="1" applyProtection="1">
      <alignment horizontal="left"/>
    </xf>
    <xf numFmtId="0" fontId="14" fillId="2" borderId="9" xfId="0" applyFont="1" applyFill="1" applyBorder="1" applyAlignment="1" applyProtection="1">
      <alignment horizontal="left"/>
    </xf>
    <xf numFmtId="0" fontId="20" fillId="4" borderId="23" xfId="0" applyFont="1" applyFill="1" applyBorder="1" applyAlignment="1" applyProtection="1">
      <alignment horizontal="left"/>
    </xf>
    <xf numFmtId="0" fontId="20" fillId="4" borderId="11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8" fillId="5" borderId="26" xfId="0" applyFont="1" applyFill="1" applyBorder="1" applyAlignment="1" applyProtection="1">
      <alignment horizontal="center"/>
    </xf>
    <xf numFmtId="0" fontId="8" fillId="5" borderId="27" xfId="0" applyFont="1" applyFill="1" applyBorder="1" applyAlignment="1" applyProtection="1">
      <alignment horizontal="center"/>
    </xf>
    <xf numFmtId="0" fontId="8" fillId="5" borderId="28" xfId="0" applyFont="1" applyFill="1" applyBorder="1" applyAlignment="1" applyProtection="1">
      <alignment horizontal="center"/>
      <protection locked="0"/>
    </xf>
    <xf numFmtId="0" fontId="8" fillId="5" borderId="29" xfId="0" applyFont="1" applyFill="1" applyBorder="1" applyAlignment="1" applyProtection="1">
      <alignment horizontal="center"/>
      <protection locked="0"/>
    </xf>
    <xf numFmtId="0" fontId="21" fillId="2" borderId="10" xfId="0" applyFont="1" applyFill="1" applyBorder="1" applyAlignment="1" applyProtection="1">
      <alignment horizontal="center"/>
    </xf>
    <xf numFmtId="0" fontId="21" fillId="2" borderId="11" xfId="0" applyFont="1" applyFill="1" applyBorder="1" applyAlignment="1" applyProtection="1">
      <alignment horizontal="center"/>
    </xf>
    <xf numFmtId="0" fontId="21" fillId="2" borderId="12" xfId="0" applyFont="1" applyFill="1" applyBorder="1" applyAlignment="1" applyProtection="1">
      <alignment horizontal="center"/>
    </xf>
  </cellXfs>
  <cellStyles count="1">
    <cellStyle name="Normal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390526</xdr:colOff>
      <xdr:row>36</xdr:row>
      <xdr:rowOff>57150</xdr:rowOff>
    </xdr:from>
    <xdr:to>
      <xdr:col>9</xdr:col>
      <xdr:colOff>781050</xdr:colOff>
      <xdr:row>37</xdr:row>
      <xdr:rowOff>95250</xdr:rowOff>
    </xdr:to>
    <xdr:sp macro="" textlink="">
      <xdr:nvSpPr>
        <xdr:cNvPr id="3" name="TextBox 2"/>
        <xdr:cNvSpPr txBox="1"/>
      </xdr:nvSpPr>
      <xdr:spPr>
        <a:xfrm>
          <a:off x="2047876" y="6734175"/>
          <a:ext cx="57435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850">
              <a:latin typeface="+mn-lt"/>
            </a:rPr>
            <a:t>*Dilutent key:	D5</a:t>
          </a:r>
          <a:r>
            <a:rPr lang="en-GB" sz="850" baseline="0">
              <a:latin typeface="+mn-lt"/>
            </a:rPr>
            <a:t> = 5% glucose	D10 = 10% glucose	   NS = 0.9% saline	DS - 0.45% saline and 5% glucose</a:t>
          </a:r>
          <a:endParaRPr lang="en-GB" sz="850">
            <a:latin typeface="+mn-lt"/>
          </a:endParaRPr>
        </a:p>
      </xdr:txBody>
    </xdr:sp>
    <xdr:clientData/>
  </xdr:twoCellAnchor>
  <xdr:twoCellAnchor>
    <xdr:from>
      <xdr:col>0</xdr:col>
      <xdr:colOff>66675</xdr:colOff>
      <xdr:row>4</xdr:row>
      <xdr:rowOff>85725</xdr:rowOff>
    </xdr:from>
    <xdr:to>
      <xdr:col>11</xdr:col>
      <xdr:colOff>657225</xdr:colOff>
      <xdr:row>5</xdr:row>
      <xdr:rowOff>85725</xdr:rowOff>
    </xdr:to>
    <xdr:sp macro="" textlink="">
      <xdr:nvSpPr>
        <xdr:cNvPr id="4" name="TextBox 3"/>
        <xdr:cNvSpPr txBox="1"/>
      </xdr:nvSpPr>
      <xdr:spPr>
        <a:xfrm>
          <a:off x="66675" y="1104900"/>
          <a:ext cx="907732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850"/>
            <a:t>Weight checked by:   Name................................................  Signed</a:t>
          </a:r>
          <a:r>
            <a:rPr lang="en-GB" sz="850">
              <a:solidFill>
                <a:schemeClr val="dk1"/>
              </a:solidFill>
              <a:latin typeface="+mn-lt"/>
              <a:ea typeface="+mn-ea"/>
              <a:cs typeface="+mn-cs"/>
            </a:rPr>
            <a:t>................................................  </a:t>
          </a:r>
          <a:r>
            <a:rPr lang="en-GB" sz="850" baseline="0"/>
            <a:t>Prescriber :  Name</a:t>
          </a:r>
          <a:r>
            <a:rPr lang="en-GB" sz="850">
              <a:solidFill>
                <a:schemeClr val="dk1"/>
              </a:solidFill>
              <a:latin typeface="+mn-lt"/>
              <a:ea typeface="+mn-ea"/>
              <a:cs typeface="+mn-cs"/>
            </a:rPr>
            <a:t>................................................  </a:t>
          </a:r>
          <a:r>
            <a:rPr lang="en-GB" sz="850" baseline="0"/>
            <a:t>	Signed</a:t>
          </a:r>
          <a:r>
            <a:rPr lang="en-GB" sz="850">
              <a:solidFill>
                <a:schemeClr val="dk1"/>
              </a:solidFill>
              <a:latin typeface="+mn-lt"/>
              <a:ea typeface="+mn-ea"/>
              <a:cs typeface="+mn-cs"/>
            </a:rPr>
            <a:t>................................................  </a:t>
          </a:r>
          <a:endParaRPr lang="en-GB" sz="850"/>
        </a:p>
      </xdr:txBody>
    </xdr:sp>
    <xdr:clientData/>
  </xdr:twoCellAnchor>
  <xdr:twoCellAnchor editAs="oneCell">
    <xdr:from>
      <xdr:col>0</xdr:col>
      <xdr:colOff>216478</xdr:colOff>
      <xdr:row>0</xdr:row>
      <xdr:rowOff>34637</xdr:rowOff>
    </xdr:from>
    <xdr:to>
      <xdr:col>0</xdr:col>
      <xdr:colOff>1151659</xdr:colOff>
      <xdr:row>4</xdr:row>
      <xdr:rowOff>69273</xdr:rowOff>
    </xdr:to>
    <xdr:pic>
      <xdr:nvPicPr>
        <xdr:cNvPr id="5" name="Picture 4" descr="KIDS logo 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6478" y="34637"/>
          <a:ext cx="935181" cy="935181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8</xdr:col>
      <xdr:colOff>60613</xdr:colOff>
      <xdr:row>0</xdr:row>
      <xdr:rowOff>129885</xdr:rowOff>
    </xdr:from>
    <xdr:to>
      <xdr:col>11</xdr:col>
      <xdr:colOff>606137</xdr:colOff>
      <xdr:row>4</xdr:row>
      <xdr:rowOff>43295</xdr:rowOff>
    </xdr:to>
    <xdr:sp macro="" textlink="">
      <xdr:nvSpPr>
        <xdr:cNvPr id="6" name="TextBox 5"/>
        <xdr:cNvSpPr txBox="1"/>
      </xdr:nvSpPr>
      <xdr:spPr>
        <a:xfrm>
          <a:off x="6502977" y="129885"/>
          <a:ext cx="2623705" cy="8139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sx="50000" sy="50000" algn="tl" rotWithShape="0">
            <a:prstClr val="black">
              <a:alpha val="6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000" i="1">
              <a:effectLst/>
            </a:rPr>
            <a:t>All drugs to be given by intravenous route unless otherwise stated.  It is the responsibility of the clinician to ensure drugs are used appropriately according to the clinical situation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indowProtection="1" tabSelected="1" zoomScale="110" zoomScaleNormal="110" workbookViewId="0">
      <selection activeCell="B4" sqref="B4:C4"/>
    </sheetView>
  </sheetViews>
  <sheetFormatPr defaultRowHeight="12.75" x14ac:dyDescent="0.2"/>
  <cols>
    <col min="1" max="1" width="24.85546875" style="51" customWidth="1"/>
    <col min="2" max="2" width="9.5703125" style="52" customWidth="1"/>
    <col min="3" max="3" width="14.42578125" style="1" customWidth="1"/>
    <col min="4" max="4" width="1" style="1" customWidth="1"/>
    <col min="5" max="5" width="12.42578125" style="1" customWidth="1"/>
    <col min="6" max="6" width="9.42578125" style="1" customWidth="1"/>
    <col min="7" max="7" width="11.140625" style="1" customWidth="1"/>
    <col min="8" max="8" width="13.5703125" style="1" customWidth="1"/>
    <col min="9" max="9" width="9.7109375" style="1" customWidth="1"/>
    <col min="10" max="10" width="12.28515625" style="46" customWidth="1"/>
    <col min="11" max="11" width="9.140625" style="1"/>
    <col min="12" max="12" width="11.7109375" style="1" customWidth="1"/>
    <col min="13" max="16384" width="9.140625" style="1"/>
  </cols>
  <sheetData>
    <row r="1" spans="1:12" ht="21.75" customHeight="1" x14ac:dyDescent="0.3">
      <c r="A1" s="83"/>
      <c r="B1" s="90" t="s">
        <v>47</v>
      </c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2" ht="11.25" customHeight="1" thickBot="1" x14ac:dyDescent="0.25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/>
    </row>
    <row r="3" spans="1:12" ht="20.25" customHeight="1" thickBot="1" x14ac:dyDescent="0.35">
      <c r="A3" s="2"/>
      <c r="B3" s="137" t="s">
        <v>36</v>
      </c>
      <c r="C3" s="138"/>
      <c r="D3" s="5"/>
      <c r="E3" s="91" t="s">
        <v>70</v>
      </c>
      <c r="F3" s="92"/>
      <c r="G3" s="92"/>
      <c r="H3" s="93"/>
      <c r="I3" s="4"/>
      <c r="J3" s="4"/>
      <c r="K3" s="4"/>
      <c r="L3" s="6"/>
    </row>
    <row r="4" spans="1:12" ht="17.25" customHeight="1" thickTop="1" thickBot="1" x14ac:dyDescent="0.35">
      <c r="A4" s="89"/>
      <c r="B4" s="139"/>
      <c r="C4" s="140"/>
      <c r="D4" s="7"/>
      <c r="E4" s="94"/>
      <c r="F4" s="95"/>
      <c r="G4" s="95"/>
      <c r="H4" s="96"/>
      <c r="I4" s="4"/>
      <c r="J4" s="4"/>
      <c r="K4" s="4"/>
      <c r="L4" s="6"/>
    </row>
    <row r="5" spans="1:12" ht="16.5" customHeight="1" thickTop="1" x14ac:dyDescent="0.3">
      <c r="A5" s="8"/>
      <c r="B5" s="9"/>
      <c r="C5" s="4"/>
      <c r="D5" s="7"/>
      <c r="E5" s="10"/>
      <c r="F5" s="10"/>
      <c r="G5" s="10"/>
      <c r="H5" s="10"/>
      <c r="I5" s="10"/>
      <c r="J5" s="10"/>
      <c r="K5" s="10"/>
      <c r="L5" s="11"/>
    </row>
    <row r="6" spans="1:12" ht="11.25" customHeight="1" x14ac:dyDescent="0.3">
      <c r="A6" s="12"/>
      <c r="B6" s="4"/>
      <c r="C6" s="7"/>
      <c r="D6" s="7"/>
      <c r="E6" s="4"/>
      <c r="F6" s="4"/>
      <c r="G6" s="4"/>
      <c r="H6" s="4"/>
      <c r="I6" s="4"/>
      <c r="J6" s="13"/>
      <c r="K6" s="4"/>
      <c r="L6" s="6"/>
    </row>
    <row r="7" spans="1:12" ht="13.5" customHeight="1" x14ac:dyDescent="0.25">
      <c r="A7" s="125" t="s">
        <v>40</v>
      </c>
      <c r="B7" s="126"/>
      <c r="C7" s="14"/>
      <c r="D7" s="15"/>
      <c r="E7" s="88" t="s">
        <v>14</v>
      </c>
      <c r="F7" s="16"/>
      <c r="G7" s="17"/>
      <c r="H7" s="16"/>
      <c r="I7" s="16"/>
      <c r="J7" s="18"/>
      <c r="K7" s="16"/>
      <c r="L7" s="19"/>
    </row>
    <row r="8" spans="1:12" ht="13.5" customHeight="1" x14ac:dyDescent="0.25">
      <c r="A8" s="111" t="s">
        <v>5</v>
      </c>
      <c r="B8" s="112"/>
      <c r="C8" s="20" t="s">
        <v>0</v>
      </c>
      <c r="D8" s="15"/>
      <c r="E8" s="102" t="s">
        <v>16</v>
      </c>
      <c r="F8" s="21"/>
      <c r="G8" s="22" t="s">
        <v>25</v>
      </c>
      <c r="H8" s="22" t="s">
        <v>37</v>
      </c>
      <c r="I8" s="22" t="s">
        <v>46</v>
      </c>
      <c r="J8" s="23" t="s">
        <v>17</v>
      </c>
      <c r="K8" s="22" t="s">
        <v>0</v>
      </c>
      <c r="L8" s="24"/>
    </row>
    <row r="9" spans="1:12" ht="13.5" customHeight="1" x14ac:dyDescent="0.2">
      <c r="A9" s="127" t="s">
        <v>50</v>
      </c>
      <c r="B9" s="128"/>
      <c r="C9" s="81" t="str">
        <f>IF(B4="","",IF(B4&gt;70,"140mg max",B4*2&amp;"mg"))</f>
        <v/>
      </c>
      <c r="D9" s="15"/>
      <c r="E9" s="29" t="s">
        <v>7</v>
      </c>
      <c r="F9" s="30"/>
      <c r="G9" s="30" t="str">
        <f>IF(B4="","",B4&amp;"mg")</f>
        <v/>
      </c>
      <c r="H9" s="30" t="s">
        <v>23</v>
      </c>
      <c r="I9" s="30" t="s">
        <v>24</v>
      </c>
      <c r="J9" s="31" t="str">
        <f>IF(B4="","","0.5 - 2 ml/hr")</f>
        <v/>
      </c>
      <c r="K9" s="32" t="s">
        <v>32</v>
      </c>
      <c r="L9" s="33"/>
    </row>
    <row r="10" spans="1:12" ht="13.5" customHeight="1" x14ac:dyDescent="0.2">
      <c r="A10" s="119" t="s">
        <v>49</v>
      </c>
      <c r="B10" s="120"/>
      <c r="C10" s="86" t="str">
        <f>IF(B4="","",IF(B4&gt;70,(B4*2)&amp;" - "&amp;(70*4)&amp;"mg max",(B4*2)&amp;" - "&amp;(B4*4)&amp;"mg"))</f>
        <v/>
      </c>
      <c r="D10" s="15"/>
      <c r="E10" s="58" t="s">
        <v>2</v>
      </c>
      <c r="F10" s="59"/>
      <c r="G10" s="59" t="str">
        <f>IF(B4="","",IF(B4&lt;32,3*B4,100)&amp;"mg")</f>
        <v/>
      </c>
      <c r="H10" s="59" t="s">
        <v>26</v>
      </c>
      <c r="I10" s="59" t="s">
        <v>24</v>
      </c>
      <c r="J10" s="60" t="str">
        <f>IF(B4="","",IF(B4&lt;32,"0.5 - 3",TEXT(((0.5*B4*60)/2000),"0.0")&amp;" - "&amp;TEXT(((3*B4*60)/2000),"0.0"))&amp;" ml/hr")</f>
        <v/>
      </c>
      <c r="K10" s="61" t="s">
        <v>42</v>
      </c>
      <c r="L10" s="62"/>
    </row>
    <row r="11" spans="1:12" ht="13.5" customHeight="1" x14ac:dyDescent="0.25">
      <c r="A11" s="117" t="s">
        <v>48</v>
      </c>
      <c r="B11" s="118"/>
      <c r="C11" s="28" t="str">
        <f>IF(B4="","",IF(B4&gt;70,B4&amp;" - "&amp;(70*5)&amp;"micrograms max",B4&amp;" - "&amp;B4*5&amp;"micrograms"))</f>
        <v/>
      </c>
      <c r="D11" s="15"/>
      <c r="E11" s="102" t="s">
        <v>15</v>
      </c>
      <c r="F11" s="106"/>
      <c r="G11" s="106"/>
      <c r="H11" s="106"/>
      <c r="I11" s="106"/>
      <c r="J11" s="106"/>
      <c r="K11" s="106"/>
      <c r="L11" s="107"/>
    </row>
    <row r="12" spans="1:12" ht="13.5" customHeight="1" x14ac:dyDescent="0.2">
      <c r="A12" s="119" t="s">
        <v>51</v>
      </c>
      <c r="B12" s="120"/>
      <c r="C12" s="86" t="str">
        <f>IF(B4="","",IF(B4&gt;70,B4*2&amp;" - "&amp;(70*5)&amp;"mg max",B4*2&amp;" - "&amp;B4*5&amp;"mg"))</f>
        <v/>
      </c>
      <c r="D12" s="15"/>
      <c r="E12" s="53" t="s">
        <v>1</v>
      </c>
      <c r="F12" s="54"/>
      <c r="G12" s="54" t="str">
        <f>IF(B4="","",IF(B4&gt;30,"Neat solution 300mg in 30ml",IF(B4&gt;10,"Neat solution 200mg in 20ml","Neat solution 100mg in 10ml")))</f>
        <v/>
      </c>
      <c r="H12" s="54"/>
      <c r="I12" s="54" t="str">
        <f>IF(B4="","",IF(B4&gt;20,"50ml","20ml"))</f>
        <v/>
      </c>
      <c r="J12" s="55" t="str">
        <f>IF(B4="","",(0.6*B4/10)&amp;" - "&amp;(B4/10)&amp;" ml/hr")</f>
        <v/>
      </c>
      <c r="K12" s="56" t="s">
        <v>33</v>
      </c>
      <c r="L12" s="57"/>
    </row>
    <row r="13" spans="1:12" ht="13.5" customHeight="1" x14ac:dyDescent="0.2">
      <c r="A13" s="2"/>
      <c r="B13" s="25"/>
      <c r="C13" s="26"/>
      <c r="D13" s="15"/>
      <c r="E13" s="58" t="s">
        <v>38</v>
      </c>
      <c r="F13" s="59"/>
      <c r="G13" s="59" t="str">
        <f>IF(B4="","",B4*6&amp;"mg")</f>
        <v/>
      </c>
      <c r="H13" s="59" t="s">
        <v>23</v>
      </c>
      <c r="I13" s="59" t="s">
        <v>24</v>
      </c>
      <c r="J13" s="60" t="str">
        <f>IF(B4="","","0.5 - 2ml/hr")</f>
        <v/>
      </c>
      <c r="K13" s="61" t="s">
        <v>43</v>
      </c>
      <c r="L13" s="62"/>
    </row>
    <row r="14" spans="1:12" ht="13.5" customHeight="1" x14ac:dyDescent="0.25">
      <c r="A14" s="111" t="s">
        <v>6</v>
      </c>
      <c r="B14" s="112"/>
      <c r="C14" s="113"/>
      <c r="D14" s="15"/>
      <c r="E14" s="102" t="s">
        <v>8</v>
      </c>
      <c r="F14" s="103"/>
      <c r="G14" s="103"/>
      <c r="H14" s="103"/>
      <c r="I14" s="103"/>
      <c r="J14" s="103"/>
      <c r="K14" s="103"/>
      <c r="L14" s="104"/>
    </row>
    <row r="15" spans="1:12" ht="13.5" customHeight="1" x14ac:dyDescent="0.2">
      <c r="A15" s="127" t="s">
        <v>52</v>
      </c>
      <c r="B15" s="128"/>
      <c r="C15" s="81" t="str">
        <f>IF(B4="","",IF(B4&lt;10,B4*2&amp;"mg","-"))</f>
        <v/>
      </c>
      <c r="D15" s="15"/>
      <c r="E15" s="29" t="s">
        <v>11</v>
      </c>
      <c r="F15" s="70" t="s">
        <v>9</v>
      </c>
      <c r="G15" s="30" t="str">
        <f>IF(B4="","",IF(B4&lt;5,15*B4&amp;"mg","80mg"))</f>
        <v/>
      </c>
      <c r="H15" s="30" t="s">
        <v>23</v>
      </c>
      <c r="I15" s="30" t="s">
        <v>24</v>
      </c>
      <c r="J15" s="71" t="str">
        <f>IF(B4="","",IF(B4&lt;5,"1 - 4 ml/hr",TEXT(0.1875*B4,"0.0")&amp;" - "&amp;TEXT(0.75*B4,"0.0")&amp;"ml/hr"))</f>
        <v/>
      </c>
      <c r="K15" s="32" t="s">
        <v>34</v>
      </c>
      <c r="L15" s="33"/>
    </row>
    <row r="16" spans="1:12" ht="13.5" customHeight="1" x14ac:dyDescent="0.2">
      <c r="A16" s="117" t="s">
        <v>53</v>
      </c>
      <c r="B16" s="118"/>
      <c r="C16" s="28" t="str">
        <f>IF(B4="","",IF(B4&lt;10,"-",B4&amp;"mg"))</f>
        <v/>
      </c>
      <c r="D16" s="15"/>
      <c r="E16" s="72"/>
      <c r="F16" s="73" t="s">
        <v>10</v>
      </c>
      <c r="G16" s="74" t="str">
        <f>IF(B4="","",IF(B4&gt;40,"625mg max",B4*15&amp;"mg"))</f>
        <v/>
      </c>
      <c r="H16" s="74" t="s">
        <v>23</v>
      </c>
      <c r="I16" s="74" t="s">
        <v>24</v>
      </c>
      <c r="J16" s="75" t="str">
        <f>IF(B4="","",IF(B4&gt;40,TEXT((B4*((5/(12500/60)))),"0.0")&amp;" - "&amp;TEXT((B4*((20/(12500/60)))),"0.0")&amp;" ml/hr","1 - 4 ml/hr"))</f>
        <v/>
      </c>
      <c r="K16" s="76" t="s">
        <v>34</v>
      </c>
      <c r="L16" s="77"/>
    </row>
    <row r="17" spans="1:12" ht="13.5" customHeight="1" x14ac:dyDescent="0.2">
      <c r="A17" s="119" t="s">
        <v>54</v>
      </c>
      <c r="B17" s="120"/>
      <c r="C17" s="86" t="str">
        <f>IF(B4="","",B4&amp;"mg")</f>
        <v/>
      </c>
      <c r="D17" s="15"/>
      <c r="E17" s="29" t="s">
        <v>12</v>
      </c>
      <c r="F17" s="70" t="s">
        <v>9</v>
      </c>
      <c r="G17" s="30" t="str">
        <f>IF(B4="","",IF(B4&lt;5,15*B4&amp;"mg","80mg"))</f>
        <v/>
      </c>
      <c r="H17" s="30" t="s">
        <v>23</v>
      </c>
      <c r="I17" s="30" t="s">
        <v>24</v>
      </c>
      <c r="J17" s="71" t="str">
        <f>IF(B4="","",IF(B4&lt;5,"1 - 4 ml/hr",TEXT(0.1875*B4,"0.0")&amp;" - "&amp;TEXT(0.75*B4,"0.0")&amp;"ml/hr"))</f>
        <v/>
      </c>
      <c r="K17" s="32" t="s">
        <v>34</v>
      </c>
      <c r="L17" s="33"/>
    </row>
    <row r="18" spans="1:12" ht="13.5" customHeight="1" x14ac:dyDescent="0.2">
      <c r="A18" s="117" t="s">
        <v>55</v>
      </c>
      <c r="B18" s="118"/>
      <c r="C18" s="28" t="str">
        <f>IF(B4="","",(B4*0.1)&amp;" mg")</f>
        <v/>
      </c>
      <c r="D18" s="15"/>
      <c r="E18" s="72"/>
      <c r="F18" s="73" t="s">
        <v>10</v>
      </c>
      <c r="G18" s="74" t="str">
        <f>IF(B4="","",IF(B4&gt;40,"625mg max",B4*15&amp;"mg"))</f>
        <v/>
      </c>
      <c r="H18" s="74" t="s">
        <v>23</v>
      </c>
      <c r="I18" s="74" t="s">
        <v>24</v>
      </c>
      <c r="J18" s="75" t="str">
        <f>IF(B4="","",IF(B4&gt;40,TEXT((B4*((5/(12500/60)))),"0.0")&amp;" - "&amp;TEXT((B4*((20/(12500/60)))),"0.0")&amp;" ml/hr","1 - 4 ml/hr"))</f>
        <v/>
      </c>
      <c r="K18" s="76" t="s">
        <v>34</v>
      </c>
      <c r="L18" s="77"/>
    </row>
    <row r="19" spans="1:12" ht="13.5" customHeight="1" x14ac:dyDescent="0.2">
      <c r="A19" s="2"/>
      <c r="B19" s="27"/>
      <c r="C19" s="26"/>
      <c r="D19" s="15"/>
      <c r="E19" s="29" t="s">
        <v>3</v>
      </c>
      <c r="F19" s="70" t="s">
        <v>10</v>
      </c>
      <c r="G19" s="30" t="str">
        <f>IF(B4="","",(0.3*B4)&amp;"mg")</f>
        <v/>
      </c>
      <c r="H19" s="30" t="s">
        <v>23</v>
      </c>
      <c r="I19" s="30" t="s">
        <v>24</v>
      </c>
      <c r="J19" s="31" t="str">
        <f>IF(B4="","","0.1 - 10 ml/hr")</f>
        <v/>
      </c>
      <c r="K19" s="32" t="s">
        <v>44</v>
      </c>
      <c r="L19" s="33"/>
    </row>
    <row r="20" spans="1:12" ht="13.5" customHeight="1" x14ac:dyDescent="0.25">
      <c r="A20" s="111" t="s">
        <v>39</v>
      </c>
      <c r="B20" s="112"/>
      <c r="C20" s="113"/>
      <c r="D20" s="15"/>
      <c r="E20" s="108" t="s">
        <v>77</v>
      </c>
      <c r="F20" s="109"/>
      <c r="G20" s="109"/>
      <c r="H20" s="109"/>
      <c r="I20" s="109"/>
      <c r="J20" s="109"/>
      <c r="K20" s="109"/>
      <c r="L20" s="110"/>
    </row>
    <row r="21" spans="1:12" ht="13.5" customHeight="1" x14ac:dyDescent="0.2">
      <c r="A21" s="132" t="s">
        <v>56</v>
      </c>
      <c r="B21" s="133"/>
      <c r="C21" s="87" t="str">
        <f>IF(B4="","",IF(B4&gt;100,"10ml max",(B4*0.1)&amp;"ml"))</f>
        <v/>
      </c>
      <c r="D21" s="15"/>
      <c r="E21" s="58" t="s">
        <v>13</v>
      </c>
      <c r="F21" s="63" t="s">
        <v>10</v>
      </c>
      <c r="G21" s="59" t="str">
        <f>IF(B4="","",(0.3*B4)&amp;"mg")</f>
        <v/>
      </c>
      <c r="H21" s="59" t="s">
        <v>27</v>
      </c>
      <c r="I21" s="59" t="s">
        <v>24</v>
      </c>
      <c r="J21" s="60" t="str">
        <f>IF(B4="","","0.1 - 10 ml/hr")</f>
        <v/>
      </c>
      <c r="K21" s="61" t="s">
        <v>44</v>
      </c>
      <c r="L21" s="62"/>
    </row>
    <row r="22" spans="1:12" ht="13.5" customHeight="1" x14ac:dyDescent="0.25">
      <c r="A22" s="117" t="s">
        <v>57</v>
      </c>
      <c r="B22" s="118"/>
      <c r="C22" s="28" t="str">
        <f>IF(B4="","",IF(B4&gt;50,"1mg max",IF(B4&lt;5,"100micrograms min",(B4*20)&amp;"micrograms")))</f>
        <v/>
      </c>
      <c r="D22" s="15"/>
      <c r="E22" s="102" t="str">
        <f>IF(B4&gt;10,"Ductal patency drugs omitted as patient over 10kg","Ductal patency")</f>
        <v>Ductal patency</v>
      </c>
      <c r="F22" s="103"/>
      <c r="G22" s="103"/>
      <c r="H22" s="103"/>
      <c r="I22" s="103"/>
      <c r="J22" s="103"/>
      <c r="K22" s="103"/>
      <c r="L22" s="104"/>
    </row>
    <row r="23" spans="1:12" ht="13.5" customHeight="1" x14ac:dyDescent="0.2">
      <c r="A23" s="119" t="s">
        <v>58</v>
      </c>
      <c r="B23" s="120"/>
      <c r="C23" s="86" t="str">
        <f>IF(B4="","",(B4*0.1)&amp;" - "&amp;(B4*0.5)&amp;"mg")</f>
        <v/>
      </c>
      <c r="D23" s="15"/>
      <c r="E23" s="29" t="str">
        <f>IF(B4&gt;10,"-","Alprostadil (E1)")</f>
        <v>Alprostadil (E1)</v>
      </c>
      <c r="F23" s="82"/>
      <c r="G23" s="32" t="str">
        <f>IF(B4="","",IF(B4&gt;10,"-","50micrograms"))</f>
        <v/>
      </c>
      <c r="H23" s="30" t="str">
        <f>IF(B4&gt;10,"-","D5/D10/NS")</f>
        <v>D5/D10/NS</v>
      </c>
      <c r="I23" s="30" t="str">
        <f>IF(B4&gt;10,"-","50ml")</f>
        <v>50ml</v>
      </c>
      <c r="J23" s="31" t="str">
        <f>IF(B4="","",IF(B4&gt;10,"-",TEXT((0.3*B4),"0.0")&amp;" - "&amp;TEXT((1.2*B4),"0.0")&amp;" ml/hr "))</f>
        <v/>
      </c>
      <c r="K23" s="32" t="str">
        <f>IF(B4&gt;10,"-","5 - 20nanograms/kg/min")</f>
        <v>5 - 20nanograms/kg/min</v>
      </c>
      <c r="L23" s="33"/>
    </row>
    <row r="24" spans="1:12" ht="13.5" customHeight="1" x14ac:dyDescent="0.2">
      <c r="A24" s="117" t="s">
        <v>59</v>
      </c>
      <c r="B24" s="118"/>
      <c r="C24" s="28" t="str">
        <f>IF(B4="","",IF(B4&gt;60,"300 mg max",(5*B4)&amp;"mg"))</f>
        <v/>
      </c>
      <c r="D24" s="15"/>
      <c r="E24" s="58" t="str">
        <f>IF(B4&gt;10,"-","Dinoprostone (E2)")</f>
        <v>Dinoprostone (E2)</v>
      </c>
      <c r="F24" s="64"/>
      <c r="G24" s="61" t="str">
        <f>IF(B4="","",IF(B4&gt;10,"-","50micrograms"))</f>
        <v/>
      </c>
      <c r="H24" s="59" t="str">
        <f>IF(B4&gt;10,"-","D5/D10/NS")</f>
        <v>D5/D10/NS</v>
      </c>
      <c r="I24" s="59" t="str">
        <f>IF(B4&gt;10,"-","50ml")</f>
        <v>50ml</v>
      </c>
      <c r="J24" s="60" t="str">
        <f>IF(B4="","",IF(B4&gt;10,"-",TEXT((0.3*B4),"0.0")&amp;" - "&amp;TEXT((1.2*B4),"0.0")&amp;" ml/hr "))</f>
        <v/>
      </c>
      <c r="K24" s="61" t="str">
        <f>IF(B4&gt;10,"-","5 - 20nanograms/kg/min")</f>
        <v>5 - 20nanograms/kg/min</v>
      </c>
      <c r="L24" s="62"/>
    </row>
    <row r="25" spans="1:12" ht="13.5" customHeight="1" x14ac:dyDescent="0.25">
      <c r="A25" s="119" t="s">
        <v>60</v>
      </c>
      <c r="B25" s="120"/>
      <c r="C25" s="86" t="str">
        <f>IF(B4="","",IF(B4&gt;20,"10ml max",(B4*0.5)&amp; "ml"))</f>
        <v/>
      </c>
      <c r="D25" s="15"/>
      <c r="E25" s="114" t="s">
        <v>21</v>
      </c>
      <c r="F25" s="115"/>
      <c r="G25" s="115"/>
      <c r="H25" s="115"/>
      <c r="I25" s="115"/>
      <c r="J25" s="115"/>
      <c r="K25" s="115"/>
      <c r="L25" s="116"/>
    </row>
    <row r="26" spans="1:12" ht="13.5" customHeight="1" x14ac:dyDescent="0.2">
      <c r="A26" s="117" t="s">
        <v>61</v>
      </c>
      <c r="B26" s="118"/>
      <c r="C26" s="28" t="str">
        <f>IF(B4="","",IF(B4&gt;50,"50ml max",B4&amp;"ml"))</f>
        <v/>
      </c>
      <c r="D26" s="15"/>
      <c r="E26" s="29" t="s">
        <v>18</v>
      </c>
      <c r="F26" s="100"/>
      <c r="G26" s="101" t="s">
        <v>76</v>
      </c>
      <c r="H26" s="97"/>
      <c r="I26" s="97"/>
      <c r="J26" s="98"/>
      <c r="K26" s="97"/>
      <c r="L26" s="99"/>
    </row>
    <row r="27" spans="1:12" ht="13.5" customHeight="1" x14ac:dyDescent="0.2">
      <c r="A27" s="129"/>
      <c r="B27" s="130"/>
      <c r="C27" s="131"/>
      <c r="D27" s="15"/>
      <c r="E27" s="121"/>
      <c r="F27" s="122"/>
      <c r="G27" s="122"/>
      <c r="H27" s="123"/>
      <c r="I27" s="123"/>
      <c r="J27" s="123"/>
      <c r="K27" s="123"/>
      <c r="L27" s="124"/>
    </row>
    <row r="28" spans="1:12" ht="13.5" customHeight="1" x14ac:dyDescent="0.25">
      <c r="A28" s="111" t="s">
        <v>4</v>
      </c>
      <c r="B28" s="112"/>
      <c r="C28" s="113"/>
      <c r="D28" s="15"/>
      <c r="E28" s="80" t="s">
        <v>75</v>
      </c>
      <c r="F28" s="70" t="s">
        <v>9</v>
      </c>
      <c r="G28" s="30" t="s">
        <v>31</v>
      </c>
      <c r="H28" s="30" t="s">
        <v>28</v>
      </c>
      <c r="I28" s="30" t="s">
        <v>24</v>
      </c>
      <c r="J28" s="31" t="str">
        <f>IF(B4="","",TEXT(((60*B4)/200),"0.0")&amp;" - "&amp;TEXT((2*((60*B4)/200)),"0.0")&amp;" ml/hr")</f>
        <v/>
      </c>
      <c r="K28" s="32" t="s">
        <v>35</v>
      </c>
      <c r="L28" s="33"/>
    </row>
    <row r="29" spans="1:12" ht="13.5" customHeight="1" x14ac:dyDescent="0.2">
      <c r="A29" s="132" t="s">
        <v>62</v>
      </c>
      <c r="B29" s="133"/>
      <c r="C29" s="87" t="str">
        <f>IF(B4="","",IF(B4&gt;40,"4mg max",(B4*0.1)&amp;"mg"))</f>
        <v/>
      </c>
      <c r="D29" s="15"/>
      <c r="E29" s="105" t="s">
        <v>75</v>
      </c>
      <c r="F29" s="73" t="s">
        <v>10</v>
      </c>
      <c r="G29" s="74" t="s">
        <v>29</v>
      </c>
      <c r="H29" s="74" t="s">
        <v>28</v>
      </c>
      <c r="I29" s="74" t="s">
        <v>24</v>
      </c>
      <c r="J29" s="75" t="str">
        <f>IF(B4="","",TEXT(((60*B4)/500),"0.0")&amp;" - "&amp;TEXT((2*((60*B4)/500)),"0.0")&amp;" ml/hr")</f>
        <v/>
      </c>
      <c r="K29" s="76" t="s">
        <v>35</v>
      </c>
      <c r="L29" s="77"/>
    </row>
    <row r="30" spans="1:12" ht="13.5" customHeight="1" x14ac:dyDescent="0.2">
      <c r="A30" s="117" t="s">
        <v>63</v>
      </c>
      <c r="B30" s="118"/>
      <c r="C30" s="28" t="str">
        <f>IF(B4="","",(B4*20)&amp;"mg")</f>
        <v/>
      </c>
      <c r="D30" s="15"/>
      <c r="E30" s="108" t="str">
        <f>IF(B4="","",IF(B4&gt;10,"Caution - monitor for toxicity if salbutamol dose higher than 20mcg/min",""))</f>
        <v/>
      </c>
      <c r="F30" s="109"/>
      <c r="G30" s="109"/>
      <c r="H30" s="109"/>
      <c r="I30" s="109"/>
      <c r="J30" s="109"/>
      <c r="K30" s="109"/>
      <c r="L30" s="110"/>
    </row>
    <row r="31" spans="1:12" ht="13.5" customHeight="1" x14ac:dyDescent="0.2">
      <c r="A31" s="119" t="s">
        <v>64</v>
      </c>
      <c r="B31" s="120"/>
      <c r="C31" s="86" t="str">
        <f>IF(B4="","",(B4*20)&amp;"mg")</f>
        <v/>
      </c>
      <c r="D31" s="15"/>
      <c r="E31" s="29" t="s">
        <v>20</v>
      </c>
      <c r="F31" s="78" t="s">
        <v>30</v>
      </c>
      <c r="G31" s="30"/>
      <c r="H31" s="79" t="str">
        <f>IF(B4="","",5*B4&amp;"mg over 20 minutes; use 500mg/500ml concentration as per infusion")</f>
        <v/>
      </c>
      <c r="I31" s="30"/>
      <c r="J31" s="31"/>
      <c r="K31" s="32"/>
      <c r="L31" s="33"/>
    </row>
    <row r="32" spans="1:12" ht="13.5" customHeight="1" x14ac:dyDescent="0.2">
      <c r="A32" s="117" t="s">
        <v>65</v>
      </c>
      <c r="B32" s="118"/>
      <c r="C32" s="28" t="str">
        <f>IF(B4="","",IF(B4&gt;25,"20ml PR max",TEXT((B4*0.8),"0")&amp;"ml PR"))</f>
        <v/>
      </c>
      <c r="D32" s="15"/>
      <c r="E32" s="72"/>
      <c r="F32" s="74"/>
      <c r="G32" s="74" t="str">
        <f>IF(B4="","","500 mg")</f>
        <v/>
      </c>
      <c r="H32" s="74" t="s">
        <v>72</v>
      </c>
      <c r="I32" s="74" t="s">
        <v>71</v>
      </c>
      <c r="J32" s="75" t="str">
        <f>IF(B4="","",B4&amp;" ml/hr")</f>
        <v/>
      </c>
      <c r="K32" s="76" t="s">
        <v>73</v>
      </c>
      <c r="L32" s="77"/>
    </row>
    <row r="33" spans="1:12" ht="13.5" customHeight="1" x14ac:dyDescent="0.2">
      <c r="A33" s="119" t="s">
        <v>66</v>
      </c>
      <c r="B33" s="120"/>
      <c r="C33" s="86" t="str">
        <f>IF(B4="","",TEXT((B4*0.25),"0.0")&amp;" - "&amp;TEXT((B4*0.5),"0.0")&amp;"grams")</f>
        <v/>
      </c>
      <c r="D33" s="15"/>
      <c r="E33" s="141" t="s">
        <v>74</v>
      </c>
      <c r="F33" s="142"/>
      <c r="G33" s="142"/>
      <c r="H33" s="142"/>
      <c r="I33" s="142"/>
      <c r="J33" s="142"/>
      <c r="K33" s="142"/>
      <c r="L33" s="143"/>
    </row>
    <row r="34" spans="1:12" ht="13.5" customHeight="1" x14ac:dyDescent="0.2">
      <c r="A34" s="117" t="s">
        <v>67</v>
      </c>
      <c r="B34" s="118"/>
      <c r="C34" s="28" t="str">
        <f>IF(B4="","",TEXT(((0.25*B4)*10),"0")&amp;" - "&amp;TEXT(((0.5*B4)*10),"0")&amp;" ml")</f>
        <v/>
      </c>
      <c r="D34" s="15"/>
      <c r="E34" s="65" t="s">
        <v>45</v>
      </c>
      <c r="F34" s="66"/>
      <c r="G34" s="66" t="str">
        <f>IF(B4="","",IF(B4&gt;50,"4ml",((40/500)*B4)&amp;" ml"))</f>
        <v/>
      </c>
      <c r="H34" s="67" t="s">
        <v>28</v>
      </c>
      <c r="I34" s="67" t="str">
        <f>IF(B4&gt;50,100,((B4*40)/20))&amp;" ml"</f>
        <v>0 ml</v>
      </c>
      <c r="J34" s="67" t="str">
        <f>IF(B4="","",IF(B4&gt;50,300,(3*((B4*40)/20)))&amp;" ml/hr")</f>
        <v/>
      </c>
      <c r="K34" s="68" t="str">
        <f>IF(B4&gt;=50,"2 grams over 20 mins",(40*B4)&amp;" mg over 20 mins")</f>
        <v>0 mg over 20 mins</v>
      </c>
      <c r="L34" s="69"/>
    </row>
    <row r="35" spans="1:12" ht="13.5" customHeight="1" x14ac:dyDescent="0.25">
      <c r="A35" s="119" t="s">
        <v>68</v>
      </c>
      <c r="B35" s="120"/>
      <c r="C35" s="86" t="str">
        <f>IF(B4="","",TEXT(((0.25*B4)*5),"0")&amp;" - "&amp;TEXT(((0.5*B4)*5),"0")&amp;" ml")</f>
        <v/>
      </c>
      <c r="D35" s="15"/>
      <c r="E35" s="102" t="s">
        <v>22</v>
      </c>
      <c r="F35" s="106"/>
      <c r="G35" s="106"/>
      <c r="H35" s="106"/>
      <c r="I35" s="106"/>
      <c r="J35" s="106"/>
      <c r="K35" s="106"/>
      <c r="L35" s="107"/>
    </row>
    <row r="36" spans="1:12" ht="13.5" customHeight="1" x14ac:dyDescent="0.2">
      <c r="A36" s="117" t="s">
        <v>69</v>
      </c>
      <c r="B36" s="118"/>
      <c r="C36" s="28" t="str">
        <f>IF(B4="","",TEXT((B4*3),"0")&amp;"ml")</f>
        <v/>
      </c>
      <c r="D36" s="15"/>
      <c r="E36" s="29" t="s">
        <v>19</v>
      </c>
      <c r="F36" s="30"/>
      <c r="G36" s="30" t="str">
        <f>IF(B4="","",IF(B4&gt;20,50&amp;"units",TEXT((2.5*B4),"0.0")&amp;"units"))</f>
        <v/>
      </c>
      <c r="H36" s="30" t="s">
        <v>23</v>
      </c>
      <c r="I36" s="30" t="s">
        <v>24</v>
      </c>
      <c r="J36" s="31" t="str">
        <f>IF(B4="","",IF(B4&gt;20,TEXT((B4/10),"0.0")&amp;"ml/hr","2 ml/hr"))</f>
        <v/>
      </c>
      <c r="K36" s="32" t="s">
        <v>41</v>
      </c>
      <c r="L36" s="33"/>
    </row>
    <row r="37" spans="1:12" x14ac:dyDescent="0.2">
      <c r="A37" s="2"/>
      <c r="B37" s="3"/>
      <c r="C37" s="4"/>
      <c r="D37" s="4"/>
      <c r="E37" s="4"/>
      <c r="F37" s="4"/>
      <c r="G37" s="4"/>
      <c r="H37" s="4"/>
      <c r="I37" s="4"/>
      <c r="J37" s="13"/>
      <c r="K37" s="4"/>
      <c r="L37" s="6"/>
    </row>
    <row r="38" spans="1:12" ht="9" customHeight="1" x14ac:dyDescent="0.2">
      <c r="A38" s="2"/>
      <c r="B38" s="3"/>
      <c r="C38" s="4"/>
      <c r="D38" s="4"/>
      <c r="E38" s="4"/>
      <c r="F38" s="34"/>
      <c r="G38" s="4"/>
      <c r="H38" s="4"/>
      <c r="I38" s="4"/>
      <c r="J38" s="13"/>
      <c r="K38" s="4"/>
      <c r="L38" s="6"/>
    </row>
    <row r="39" spans="1:12" ht="9" customHeight="1" thickBot="1" x14ac:dyDescent="0.25">
      <c r="A39" s="35"/>
      <c r="B39" s="36"/>
      <c r="C39" s="36"/>
      <c r="D39" s="36"/>
      <c r="E39" s="37"/>
      <c r="F39" s="38"/>
      <c r="G39" s="39"/>
      <c r="H39" s="39"/>
      <c r="I39" s="36"/>
      <c r="J39" s="40"/>
      <c r="K39" s="36"/>
      <c r="L39" s="41"/>
    </row>
    <row r="40" spans="1:12" ht="17.25" x14ac:dyDescent="0.2">
      <c r="A40" s="1"/>
      <c r="B40" s="1"/>
      <c r="E40" s="42"/>
      <c r="F40" s="43"/>
      <c r="G40" s="44"/>
      <c r="H40" s="45"/>
    </row>
    <row r="41" spans="1:12" x14ac:dyDescent="0.2">
      <c r="A41" s="47"/>
      <c r="B41" s="48"/>
      <c r="C41" s="49"/>
      <c r="D41" s="48"/>
    </row>
    <row r="42" spans="1:12" x14ac:dyDescent="0.2">
      <c r="A42" s="47"/>
      <c r="B42" s="50"/>
      <c r="C42" s="42"/>
      <c r="D42" s="50"/>
    </row>
  </sheetData>
  <sheetProtection password="D399" sheet="1" objects="1" scenarios="1" selectLockedCells="1"/>
  <mergeCells count="37">
    <mergeCell ref="A2:L2"/>
    <mergeCell ref="A8:B8"/>
    <mergeCell ref="B3:C3"/>
    <mergeCell ref="B4:C4"/>
    <mergeCell ref="A36:B36"/>
    <mergeCell ref="E33:L33"/>
    <mergeCell ref="A29:B29"/>
    <mergeCell ref="A30:B30"/>
    <mergeCell ref="A31:B31"/>
    <mergeCell ref="A32:B32"/>
    <mergeCell ref="A33:B33"/>
    <mergeCell ref="E30:L30"/>
    <mergeCell ref="A34:B34"/>
    <mergeCell ref="A35:B35"/>
    <mergeCell ref="A15:B15"/>
    <mergeCell ref="A16:B16"/>
    <mergeCell ref="A20:C20"/>
    <mergeCell ref="A27:C27"/>
    <mergeCell ref="A17:B17"/>
    <mergeCell ref="A18:B18"/>
    <mergeCell ref="A21:B21"/>
    <mergeCell ref="A7:B7"/>
    <mergeCell ref="A14:C14"/>
    <mergeCell ref="A9:B9"/>
    <mergeCell ref="A10:B10"/>
    <mergeCell ref="A11:B11"/>
    <mergeCell ref="A12:B12"/>
    <mergeCell ref="E20:L20"/>
    <mergeCell ref="A28:C28"/>
    <mergeCell ref="E25:L25"/>
    <mergeCell ref="A24:B24"/>
    <mergeCell ref="A25:B25"/>
    <mergeCell ref="A26:B26"/>
    <mergeCell ref="A22:B22"/>
    <mergeCell ref="A23:B23"/>
    <mergeCell ref="E27:G27"/>
    <mergeCell ref="H27:L27"/>
  </mergeCells>
  <conditionalFormatting sqref="E30:L30">
    <cfRule type="containsText" dxfId="0" priority="1" operator="containsText" text="salbutamol">
      <formula>NOT(ISERROR(SEARCH("salbutamol",E30)))</formula>
    </cfRule>
  </conditionalFormatting>
  <dataValidations count="1">
    <dataValidation type="decimal" errorStyle="information" operator="greaterThan" allowBlank="1" showInputMessage="1" showErrorMessage="1" errorTitle="Error - re-enter" error="You have entered a character other than a number in this box.  Please re-try, using only digits." promptTitle="Only enter numbers in this box" prompt="Do not enter any letters (e.g. &quot;kg&quot;) in this box." sqref="B4:C4">
      <formula1>0</formula1>
    </dataValidation>
  </dataValidations>
  <pageMargins left="0.38" right="0.25" top="0.45" bottom="0.55000000000000004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Doses</vt:lpstr>
    </vt:vector>
  </TitlesOfParts>
  <Company>Birmingham Childrens Hospital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aplunkett</dc:creator>
  <cp:lastModifiedBy>A&amp;E Nurse</cp:lastModifiedBy>
  <cp:lastPrinted>2012-07-17T12:56:59Z</cp:lastPrinted>
  <dcterms:created xsi:type="dcterms:W3CDTF">2010-06-01T09:40:31Z</dcterms:created>
  <dcterms:modified xsi:type="dcterms:W3CDTF">2017-10-25T19:05:17Z</dcterms:modified>
</cp:coreProperties>
</file>